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330" windowWidth="14370" windowHeight="8025" activeTab="0"/>
  </bookViews>
  <sheets>
    <sheet name="TS19730CX6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Chris Lin </author>
  </authors>
  <commentList>
    <comment ref="B19" authorId="0">
      <text>
        <r>
          <rPr>
            <b/>
            <sz val="11"/>
            <rFont val="Tahoma"/>
            <family val="2"/>
          </rPr>
          <t xml:space="preserve">Maximum on time needs to </t>
        </r>
        <r>
          <rPr>
            <b/>
            <sz val="11"/>
            <rFont val="細明體"/>
            <family val="3"/>
          </rPr>
          <t>≦</t>
        </r>
        <r>
          <rPr>
            <b/>
            <sz val="11"/>
            <rFont val="Tahoma"/>
            <family val="2"/>
          </rPr>
          <t>14µs</t>
        </r>
      </text>
    </comment>
  </commentList>
</comments>
</file>

<file path=xl/sharedStrings.xml><?xml version="1.0" encoding="utf-8"?>
<sst xmlns="http://schemas.openxmlformats.org/spreadsheetml/2006/main" count="102" uniqueCount="76">
  <si>
    <t>V</t>
  </si>
  <si>
    <t>mm^2</t>
  </si>
  <si>
    <t>Ω</t>
  </si>
  <si>
    <t>V</t>
  </si>
  <si>
    <t>A</t>
  </si>
  <si>
    <t>W</t>
  </si>
  <si>
    <t>Vrms</t>
  </si>
  <si>
    <t>Turns</t>
  </si>
  <si>
    <t>V</t>
  </si>
  <si>
    <t>V</t>
  </si>
  <si>
    <t>A</t>
  </si>
  <si>
    <t>W</t>
  </si>
  <si>
    <t>Gauss</t>
  </si>
  <si>
    <t>B</t>
  </si>
  <si>
    <t>i</t>
  </si>
  <si>
    <t>L</t>
  </si>
  <si>
    <t>N</t>
  </si>
  <si>
    <t>A</t>
  </si>
  <si>
    <t>uS</t>
  </si>
  <si>
    <t>us</t>
  </si>
  <si>
    <t>uS</t>
  </si>
  <si>
    <t>toff1+toff2</t>
  </si>
  <si>
    <t>2nd Diode Forward Voltage (VF)</t>
  </si>
  <si>
    <t>Output Power (Pout)</t>
  </si>
  <si>
    <t>Efficiency (η)</t>
  </si>
  <si>
    <t>Input Power (Pin)</t>
  </si>
  <si>
    <t>Min. Input Voltage  (Vac_min)</t>
  </si>
  <si>
    <t>Max. Input Voltage  (Vac_max)</t>
  </si>
  <si>
    <t>Maximum Flux Density (Bmax)</t>
  </si>
  <si>
    <t>Primary Side Peak Current @ Vac_min (Ipk)</t>
  </si>
  <si>
    <t xml:space="preserve"> Voltage Stress on MOSFE</t>
  </si>
  <si>
    <t>Switching frequency Fsw(min)@Vac_min</t>
  </si>
  <si>
    <t>Indoctor Discharge time toff1</t>
  </si>
  <si>
    <t>Switching Off time @ Vac_min</t>
  </si>
  <si>
    <t>DCM time toff2 @ Vac_min</t>
  </si>
  <si>
    <t>Ae value of the core</t>
  </si>
  <si>
    <r>
      <t>Output Voltage(V</t>
    </r>
    <r>
      <rPr>
        <sz val="10"/>
        <rFont val="Arial Unicode MS"/>
        <family val="2"/>
      </rPr>
      <t>OUT</t>
    </r>
    <r>
      <rPr>
        <sz val="12"/>
        <rFont val="Arial Unicode MS"/>
        <family val="2"/>
      </rPr>
      <t>)</t>
    </r>
  </si>
  <si>
    <r>
      <t>V</t>
    </r>
    <r>
      <rPr>
        <sz val="10"/>
        <rFont val="Arial Unicode MS"/>
        <family val="2"/>
      </rPr>
      <t>OUT</t>
    </r>
    <r>
      <rPr>
        <sz val="12"/>
        <rFont val="Arial Unicode MS"/>
        <family val="2"/>
      </rPr>
      <t>+VF</t>
    </r>
  </si>
  <si>
    <r>
      <t>Output Current (I</t>
    </r>
    <r>
      <rPr>
        <sz val="10"/>
        <rFont val="Arial Unicode MS"/>
        <family val="2"/>
      </rPr>
      <t>OUT</t>
    </r>
    <r>
      <rPr>
        <sz val="12"/>
        <rFont val="Arial Unicode MS"/>
        <family val="2"/>
      </rPr>
      <t>)</t>
    </r>
  </si>
  <si>
    <r>
      <t>N</t>
    </r>
    <r>
      <rPr>
        <sz val="10"/>
        <rFont val="Arial Unicode MS"/>
        <family val="2"/>
      </rPr>
      <t>P_1</t>
    </r>
  </si>
  <si>
    <r>
      <t>N</t>
    </r>
    <r>
      <rPr>
        <sz val="10"/>
        <rFont val="Arial Unicode MS"/>
        <family val="2"/>
      </rPr>
      <t>A_1</t>
    </r>
  </si>
  <si>
    <r>
      <t>Turns Of Auxiliary Winding N</t>
    </r>
    <r>
      <rPr>
        <b/>
        <sz val="10"/>
        <color indexed="10"/>
        <rFont val="Arial Unicode MS"/>
        <family val="2"/>
      </rPr>
      <t>A</t>
    </r>
    <r>
      <rPr>
        <b/>
        <sz val="12"/>
        <color indexed="10"/>
        <rFont val="Arial Unicode MS"/>
        <family val="2"/>
      </rPr>
      <t xml:space="preserve"> =</t>
    </r>
  </si>
  <si>
    <r>
      <t>Check V</t>
    </r>
    <r>
      <rPr>
        <sz val="10"/>
        <rFont val="Arial Unicode MS"/>
        <family val="2"/>
      </rPr>
      <t>CC</t>
    </r>
    <r>
      <rPr>
        <sz val="12"/>
        <rFont val="Arial Unicode MS"/>
        <family val="2"/>
      </rPr>
      <t xml:space="preserve"> =</t>
    </r>
  </si>
  <si>
    <r>
      <t>Turns of Primary Side N</t>
    </r>
    <r>
      <rPr>
        <b/>
        <sz val="10"/>
        <color indexed="10"/>
        <rFont val="Arial Unicode MS"/>
        <family val="2"/>
      </rPr>
      <t>P</t>
    </r>
    <r>
      <rPr>
        <b/>
        <sz val="12"/>
        <color indexed="10"/>
        <rFont val="Arial Unicode MS"/>
        <family val="2"/>
      </rPr>
      <t xml:space="preserve"> = </t>
    </r>
  </si>
  <si>
    <r>
      <t>Primary Side Inductor Values (L</t>
    </r>
    <r>
      <rPr>
        <sz val="10"/>
        <rFont val="Arial Unicode MS"/>
        <family val="2"/>
      </rPr>
      <t>P</t>
    </r>
    <r>
      <rPr>
        <sz val="12"/>
        <rFont val="Arial Unicode MS"/>
        <family val="2"/>
      </rPr>
      <t>)</t>
    </r>
  </si>
  <si>
    <r>
      <t>IC V</t>
    </r>
    <r>
      <rPr>
        <sz val="10"/>
        <rFont val="Arial Unicode MS"/>
        <family val="2"/>
      </rPr>
      <t>CC</t>
    </r>
    <r>
      <rPr>
        <sz val="12"/>
        <rFont val="Arial Unicode MS"/>
        <family val="2"/>
      </rPr>
      <t xml:space="preserve"> Voltage</t>
    </r>
  </si>
  <si>
    <r>
      <t>R</t>
    </r>
    <r>
      <rPr>
        <b/>
        <sz val="10"/>
        <rFont val="Arial Unicode MS"/>
        <family val="2"/>
      </rPr>
      <t>CS</t>
    </r>
    <r>
      <rPr>
        <b/>
        <sz val="12"/>
        <rFont val="Arial Unicode MS"/>
        <family val="2"/>
      </rPr>
      <t xml:space="preserve"> =</t>
    </r>
  </si>
  <si>
    <r>
      <t>R</t>
    </r>
    <r>
      <rPr>
        <b/>
        <sz val="10"/>
        <rFont val="Arial Unicode MS"/>
        <family val="2"/>
      </rPr>
      <t>CL</t>
    </r>
    <r>
      <rPr>
        <b/>
        <sz val="12"/>
        <rFont val="Arial Unicode MS"/>
        <family val="2"/>
      </rPr>
      <t xml:space="preserve"> =</t>
    </r>
  </si>
  <si>
    <t xml:space="preserve"> Voltage Stress on Main Diode</t>
  </si>
  <si>
    <t>Step 1: Input Electrical Parameters</t>
  </si>
  <si>
    <t>Power Output</t>
  </si>
  <si>
    <t>Value</t>
  </si>
  <si>
    <t>Unit</t>
  </si>
  <si>
    <t>Power Input</t>
  </si>
  <si>
    <t>Buck-Boost Operation Parameter</t>
  </si>
  <si>
    <t>µs</t>
  </si>
  <si>
    <t>µH</t>
  </si>
  <si>
    <t xml:space="preserve">Step 2: Input Transformer Turns Ratio </t>
  </si>
  <si>
    <t>VOUT_OVP @ VOVP=29V</t>
  </si>
  <si>
    <t>VOUT_OVP @ VOVP=31V</t>
  </si>
  <si>
    <t>VOUT_OVP @ VOVP=33V</t>
  </si>
  <si>
    <t>Key in</t>
  </si>
  <si>
    <t>Data Output</t>
  </si>
  <si>
    <t>Inductor Design</t>
  </si>
  <si>
    <t>Transformer inductance</t>
  </si>
  <si>
    <t>Transformer Turns</t>
  </si>
  <si>
    <t>KEY Component Voltage Stress</t>
  </si>
  <si>
    <r>
      <t>R</t>
    </r>
    <r>
      <rPr>
        <b/>
        <sz val="10"/>
        <color indexed="16"/>
        <rFont val="Arial Unicode MS"/>
        <family val="2"/>
      </rPr>
      <t>CS</t>
    </r>
    <r>
      <rPr>
        <b/>
        <sz val="12"/>
        <color indexed="16"/>
        <rFont val="Arial Unicode MS"/>
        <family val="2"/>
      </rPr>
      <t xml:space="preserve"> / R</t>
    </r>
    <r>
      <rPr>
        <b/>
        <sz val="10"/>
        <color indexed="16"/>
        <rFont val="Arial Unicode MS"/>
        <family val="2"/>
      </rPr>
      <t>CL</t>
    </r>
    <r>
      <rPr>
        <b/>
        <sz val="12"/>
        <color indexed="16"/>
        <rFont val="Arial Unicode MS"/>
        <family val="2"/>
      </rPr>
      <t xml:space="preserve"> Setting</t>
    </r>
  </si>
  <si>
    <t>Step 3: Current Sense Setting</t>
  </si>
  <si>
    <t>Step 4: Over Voltage Protection (OVP) Setting</t>
  </si>
  <si>
    <t>KHz</t>
  </si>
  <si>
    <t>µs</t>
  </si>
  <si>
    <t>V</t>
  </si>
  <si>
    <t>Maximum On time @ Vac_min ton</t>
  </si>
  <si>
    <t>Version: B1703</t>
  </si>
  <si>
    <t>TS19730CX6 
System Calculation Form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</si>
</sst>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_ "/>
    <numFmt numFmtId="177" formatCode="0.0000_ "/>
    <numFmt numFmtId="178" formatCode="0.000E+00"/>
    <numFmt numFmtId="179" formatCode="0.0_ "/>
    <numFmt numFmtId="180" formatCode="[$-404]yyyy&quot;年&quot;m&quot;月&quot;d&quot;日&quot;dddd"/>
    <numFmt numFmtId="181" formatCode="[$-404]AM/PM\ hh:mm:ss"/>
    <numFmt numFmtId="182" formatCode="[$-F400]h:mm:ss\ AM/PM"/>
    <numFmt numFmtId="183" formatCode="0_ "/>
    <numFmt numFmtId="184" formatCode="0.00_ "/>
    <numFmt numFmtId="185" formatCode="0.000_);[Red]\(0.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m&quot;月&quot;d&quot;日&quot;"/>
    <numFmt numFmtId="190" formatCode="0.0000000_ "/>
    <numFmt numFmtId="191" formatCode="0.000000_ "/>
    <numFmt numFmtId="192" formatCode="0.00000_ "/>
    <numFmt numFmtId="193" formatCode="0.00000000_ "/>
    <numFmt numFmtId="194" formatCode="0.00000E+00"/>
    <numFmt numFmtId="195" formatCode="0.000000000_ "/>
  </numFmts>
  <fonts count="6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Arial"/>
      <family val="2"/>
    </font>
    <font>
      <b/>
      <sz val="12"/>
      <name val="Arial Unicode MS"/>
      <family val="2"/>
    </font>
    <font>
      <b/>
      <sz val="12"/>
      <color indexed="10"/>
      <name val="Arial Unicode MS"/>
      <family val="2"/>
    </font>
    <font>
      <sz val="12"/>
      <name val="Arial Unicode MS"/>
      <family val="2"/>
    </font>
    <font>
      <sz val="12"/>
      <color indexed="15"/>
      <name val="Arial Unicode MS"/>
      <family val="2"/>
    </font>
    <font>
      <sz val="12"/>
      <color indexed="10"/>
      <name val="Arial Unicode MS"/>
      <family val="2"/>
    </font>
    <font>
      <b/>
      <sz val="12"/>
      <color indexed="16"/>
      <name val="Arial Unicode MS"/>
      <family val="2"/>
    </font>
    <font>
      <sz val="10"/>
      <name val="Arial Unicode MS"/>
      <family val="2"/>
    </font>
    <font>
      <b/>
      <sz val="10"/>
      <color indexed="10"/>
      <name val="Arial Unicode MS"/>
      <family val="2"/>
    </font>
    <font>
      <b/>
      <sz val="10"/>
      <name val="Arial Unicode MS"/>
      <family val="2"/>
    </font>
    <font>
      <b/>
      <sz val="10"/>
      <color indexed="16"/>
      <name val="Arial Unicode MS"/>
      <family val="2"/>
    </font>
    <font>
      <b/>
      <sz val="14"/>
      <name val="Arial Unicode MS"/>
      <family val="2"/>
    </font>
    <font>
      <sz val="12"/>
      <color indexed="47"/>
      <name val="Arial Unicode MS"/>
      <family val="2"/>
    </font>
    <font>
      <sz val="12"/>
      <name val="NSimSun"/>
      <family val="3"/>
    </font>
    <font>
      <b/>
      <sz val="11"/>
      <name val="Tahoma"/>
      <family val="2"/>
    </font>
    <font>
      <b/>
      <sz val="11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Arial Unicode MS"/>
      <family val="2"/>
    </font>
    <font>
      <b/>
      <sz val="20"/>
      <color indexed="10"/>
      <name val="Arial Unicode MS"/>
      <family val="2"/>
    </font>
    <font>
      <b/>
      <sz val="18"/>
      <color indexed="9"/>
      <name val="Arial Unicode MS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Arial Unicode MS"/>
      <family val="2"/>
    </font>
    <font>
      <b/>
      <sz val="12"/>
      <color rgb="FFFF0000"/>
      <name val="Arial Unicode MS"/>
      <family val="2"/>
    </font>
    <font>
      <b/>
      <sz val="20"/>
      <color rgb="FFFF0000"/>
      <name val="Arial Unicode MS"/>
      <family val="2"/>
    </font>
    <font>
      <b/>
      <sz val="18"/>
      <color theme="0"/>
      <name val="Arial Unicode MS"/>
      <family val="2"/>
    </font>
    <font>
      <b/>
      <sz val="8"/>
      <name val="新細明體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69989061355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 applyProtection="1">
      <alignment horizontal="center" vertical="center"/>
      <protection hidden="1"/>
    </xf>
    <xf numFmtId="176" fontId="7" fillId="35" borderId="10" xfId="0" applyNumberFormat="1" applyFont="1" applyFill="1" applyBorder="1" applyAlignment="1" applyProtection="1">
      <alignment horizontal="center" vertical="center"/>
      <protection hidden="1"/>
    </xf>
    <xf numFmtId="177" fontId="6" fillId="34" borderId="10" xfId="0" applyNumberFormat="1" applyFont="1" applyFill="1" applyBorder="1" applyAlignment="1" applyProtection="1">
      <alignment horizontal="center" vertical="center"/>
      <protection hidden="1"/>
    </xf>
    <xf numFmtId="184" fontId="6" fillId="34" borderId="10" xfId="0" applyNumberFormat="1" applyFont="1" applyFill="1" applyBorder="1" applyAlignment="1" applyProtection="1">
      <alignment horizontal="center" vertical="center"/>
      <protection hidden="1"/>
    </xf>
    <xf numFmtId="184" fontId="7" fillId="0" borderId="10" xfId="0" applyNumberFormat="1" applyFont="1" applyFill="1" applyBorder="1" applyAlignment="1" applyProtection="1">
      <alignment horizontal="center" vertical="center"/>
      <protection hidden="1"/>
    </xf>
    <xf numFmtId="179" fontId="7" fillId="34" borderId="10" xfId="0" applyNumberFormat="1" applyFont="1" applyFill="1" applyBorder="1" applyAlignment="1" applyProtection="1">
      <alignment horizontal="center" vertical="center"/>
      <protection hidden="1"/>
    </xf>
    <xf numFmtId="184" fontId="7" fillId="34" borderId="10" xfId="0" applyNumberFormat="1" applyFont="1" applyFill="1" applyBorder="1" applyAlignment="1" applyProtection="1">
      <alignment horizontal="center" vertical="center"/>
      <protection hidden="1"/>
    </xf>
    <xf numFmtId="177" fontId="7" fillId="35" borderId="10" xfId="0" applyNumberFormat="1" applyFont="1" applyFill="1" applyBorder="1" applyAlignment="1" applyProtection="1">
      <alignment horizontal="center" vertical="center"/>
      <protection hidden="1"/>
    </xf>
    <xf numFmtId="0" fontId="7" fillId="36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 quotePrefix="1">
      <alignment horizontal="center" vertical="center"/>
      <protection hidden="1"/>
    </xf>
    <xf numFmtId="18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57" fillId="33" borderId="10" xfId="0" applyFont="1" applyFill="1" applyBorder="1" applyAlignment="1" applyProtection="1">
      <alignment horizontal="center" vertical="center"/>
      <protection locked="0"/>
    </xf>
    <xf numFmtId="177" fontId="7" fillId="34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177" fontId="6" fillId="34" borderId="16" xfId="0" applyNumberFormat="1" applyFont="1" applyFill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179" fontId="7" fillId="34" borderId="16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58" fillId="0" borderId="0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9" fillId="0" borderId="20" xfId="0" applyFont="1" applyFill="1" applyBorder="1" applyAlignment="1" applyProtection="1">
      <alignment horizontal="center" vertical="center"/>
      <protection hidden="1"/>
    </xf>
    <xf numFmtId="0" fontId="58" fillId="0" borderId="21" xfId="0" applyFont="1" applyFill="1" applyBorder="1" applyAlignment="1">
      <alignment horizontal="center" vertical="center"/>
    </xf>
    <xf numFmtId="0" fontId="15" fillId="37" borderId="22" xfId="0" applyFont="1" applyFill="1" applyBorder="1" applyAlignment="1">
      <alignment horizontal="center" vertical="center" wrapText="1"/>
    </xf>
    <xf numFmtId="0" fontId="15" fillId="37" borderId="23" xfId="0" applyFont="1" applyFill="1" applyBorder="1" applyAlignment="1">
      <alignment horizontal="center" vertical="center" wrapText="1"/>
    </xf>
    <xf numFmtId="0" fontId="15" fillId="37" borderId="24" xfId="0" applyFont="1" applyFill="1" applyBorder="1" applyAlignment="1">
      <alignment horizontal="center" vertical="center" wrapText="1"/>
    </xf>
    <xf numFmtId="0" fontId="60" fillId="38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3">
    <dxf>
      <font>
        <color indexed="39"/>
      </font>
    </dxf>
    <dxf>
      <font>
        <color indexed="39"/>
      </font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209550</xdr:rowOff>
    </xdr:from>
    <xdr:to>
      <xdr:col>0</xdr:col>
      <xdr:colOff>3114675</xdr:colOff>
      <xdr:row>2</xdr:row>
      <xdr:rowOff>600075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b="27095"/>
        <a:stretch>
          <a:fillRect/>
        </a:stretch>
      </xdr:blipFill>
      <xdr:spPr>
        <a:xfrm>
          <a:off x="28575" y="428625"/>
          <a:ext cx="3086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16" sqref="D16"/>
    </sheetView>
  </sheetViews>
  <sheetFormatPr defaultColWidth="9.00390625" defaultRowHeight="16.5"/>
  <cols>
    <col min="1" max="1" width="45.125" style="11" customWidth="1"/>
    <col min="2" max="2" width="33.00390625" style="11" customWidth="1"/>
    <col min="3" max="3" width="17.25390625" style="11" customWidth="1"/>
    <col min="4" max="4" width="6.875" style="11" customWidth="1"/>
    <col min="5" max="5" width="9.00390625" style="11" customWidth="1"/>
    <col min="6" max="6" width="13.375" style="11" bestFit="1" customWidth="1"/>
    <col min="7" max="16384" width="9.00390625" style="11" customWidth="1"/>
  </cols>
  <sheetData>
    <row r="1" ht="17.25"/>
    <row r="2" ht="17.25">
      <c r="C2" s="18" t="s">
        <v>74</v>
      </c>
    </row>
    <row r="3" spans="2:4" ht="54.75" customHeight="1">
      <c r="B3" s="52" t="s">
        <v>75</v>
      </c>
      <c r="C3" s="52"/>
      <c r="D3" s="53"/>
    </row>
    <row r="4" ht="18" thickBot="1"/>
    <row r="5" spans="1:6" ht="20.25">
      <c r="A5" s="49" t="s">
        <v>49</v>
      </c>
      <c r="B5" s="50"/>
      <c r="C5" s="51"/>
      <c r="E5" s="30"/>
      <c r="F5" s="29" t="s">
        <v>61</v>
      </c>
    </row>
    <row r="6" spans="1:6" ht="17.25">
      <c r="A6" s="20" t="s">
        <v>50</v>
      </c>
      <c r="B6" s="21" t="s">
        <v>51</v>
      </c>
      <c r="C6" s="22" t="s">
        <v>52</v>
      </c>
      <c r="E6" s="31"/>
      <c r="F6" s="29" t="s">
        <v>62</v>
      </c>
    </row>
    <row r="7" spans="1:3" ht="17.25">
      <c r="A7" s="23" t="s">
        <v>36</v>
      </c>
      <c r="B7" s="1">
        <v>100</v>
      </c>
      <c r="C7" s="24" t="s">
        <v>3</v>
      </c>
    </row>
    <row r="8" spans="1:3" ht="17.25">
      <c r="A8" s="23" t="s">
        <v>38</v>
      </c>
      <c r="B8" s="1">
        <v>0.18</v>
      </c>
      <c r="C8" s="24" t="s">
        <v>4</v>
      </c>
    </row>
    <row r="9" spans="1:3" ht="17.25">
      <c r="A9" s="23" t="s">
        <v>22</v>
      </c>
      <c r="B9" s="1">
        <v>1.5</v>
      </c>
      <c r="C9" s="24" t="s">
        <v>0</v>
      </c>
    </row>
    <row r="10" spans="1:3" ht="17.25">
      <c r="A10" s="25" t="s">
        <v>37</v>
      </c>
      <c r="B10" s="2">
        <f>B7+B9</f>
        <v>101.5</v>
      </c>
      <c r="C10" s="24"/>
    </row>
    <row r="11" spans="1:3" ht="17.25">
      <c r="A11" s="23" t="s">
        <v>23</v>
      </c>
      <c r="B11" s="2">
        <f>(B7)*B8</f>
        <v>18</v>
      </c>
      <c r="C11" s="24" t="s">
        <v>5</v>
      </c>
    </row>
    <row r="12" spans="1:7" ht="17.25">
      <c r="A12" s="23" t="s">
        <v>24</v>
      </c>
      <c r="B12" s="16">
        <v>0.9</v>
      </c>
      <c r="C12" s="24"/>
      <c r="G12" s="43"/>
    </row>
    <row r="13" spans="1:3" ht="17.25">
      <c r="A13" s="23" t="s">
        <v>25</v>
      </c>
      <c r="B13" s="8">
        <f>B11/B12</f>
        <v>20</v>
      </c>
      <c r="C13" s="24" t="s">
        <v>11</v>
      </c>
    </row>
    <row r="14" spans="1:3" ht="17.25">
      <c r="A14" s="23" t="s">
        <v>45</v>
      </c>
      <c r="B14" s="1">
        <v>20</v>
      </c>
      <c r="C14" s="24" t="s">
        <v>3</v>
      </c>
    </row>
    <row r="15" spans="1:3" ht="17.25">
      <c r="A15" s="20" t="s">
        <v>53</v>
      </c>
      <c r="B15" s="21" t="s">
        <v>51</v>
      </c>
      <c r="C15" s="22" t="s">
        <v>52</v>
      </c>
    </row>
    <row r="16" spans="1:3" ht="17.25">
      <c r="A16" s="23" t="s">
        <v>26</v>
      </c>
      <c r="B16" s="10">
        <v>90</v>
      </c>
      <c r="C16" s="24" t="s">
        <v>6</v>
      </c>
    </row>
    <row r="17" spans="1:3" ht="17.25">
      <c r="A17" s="23" t="s">
        <v>27</v>
      </c>
      <c r="B17" s="10">
        <v>264</v>
      </c>
      <c r="C17" s="24" t="s">
        <v>6</v>
      </c>
    </row>
    <row r="18" spans="1:3" ht="17.25">
      <c r="A18" s="20" t="s">
        <v>54</v>
      </c>
      <c r="B18" s="21" t="s">
        <v>51</v>
      </c>
      <c r="C18" s="22" t="s">
        <v>52</v>
      </c>
    </row>
    <row r="19" spans="1:4" ht="17.25">
      <c r="A19" s="23" t="s">
        <v>73</v>
      </c>
      <c r="B19" s="1">
        <v>10</v>
      </c>
      <c r="C19" s="27" t="s">
        <v>71</v>
      </c>
      <c r="D19" s="44"/>
    </row>
    <row r="20" spans="1:6" ht="17.25">
      <c r="A20" s="23" t="s">
        <v>32</v>
      </c>
      <c r="B20" s="2">
        <f>SQRT(2)*B16*B19/B10</f>
        <v>12.539824690992962</v>
      </c>
      <c r="C20" s="27" t="s">
        <v>55</v>
      </c>
      <c r="F20" s="42"/>
    </row>
    <row r="21" spans="1:3" ht="17.25" hidden="1">
      <c r="A21" s="23"/>
      <c r="B21" s="2">
        <v>2.3</v>
      </c>
      <c r="C21" s="24" t="s">
        <v>18</v>
      </c>
    </row>
    <row r="22" spans="1:3" ht="17.25" hidden="1">
      <c r="A22" s="25"/>
      <c r="B22" s="2">
        <f>SQRT((B19+B20-B21)^2+4*(B21*(B19+B20)-(SQRT(2)*B16*B19)^2*B8/(16*B10*B13)))</f>
        <v>24.106131183373297</v>
      </c>
      <c r="C22" s="24"/>
    </row>
    <row r="23" spans="1:3" ht="17.25" hidden="1">
      <c r="A23" s="25" t="s">
        <v>34</v>
      </c>
      <c r="B23" s="9">
        <f>((B19+B20-B21)-B22)/(-2)</f>
        <v>1.9331532461901677</v>
      </c>
      <c r="C23" s="24" t="s">
        <v>20</v>
      </c>
    </row>
    <row r="24" spans="1:3" ht="17.25" hidden="1">
      <c r="A24" s="25" t="s">
        <v>21</v>
      </c>
      <c r="B24" s="3">
        <f>B23+B20</f>
        <v>14.47297793718313</v>
      </c>
      <c r="C24" s="24" t="s">
        <v>19</v>
      </c>
    </row>
    <row r="25" spans="1:3" ht="17.25" hidden="1">
      <c r="A25" s="23" t="s">
        <v>33</v>
      </c>
      <c r="B25" s="3">
        <f>IF(B24&gt;9.3,B24,9.3)</f>
        <v>14.47297793718313</v>
      </c>
      <c r="C25" s="24" t="s">
        <v>19</v>
      </c>
    </row>
    <row r="26" spans="1:3" ht="17.25">
      <c r="A26" s="23" t="s">
        <v>31</v>
      </c>
      <c r="B26" s="17">
        <f>1/(B19+B25)*10^3</f>
        <v>40.86139425152038</v>
      </c>
      <c r="C26" s="24" t="s">
        <v>70</v>
      </c>
    </row>
    <row r="27" spans="1:3" ht="30" thickBot="1">
      <c r="A27" s="26"/>
      <c r="B27" s="47" t="str">
        <f>IF(B19&lt;=14,"Pass","Fail,Please Increase Fsw")</f>
        <v>Pass</v>
      </c>
      <c r="C27" s="48"/>
    </row>
    <row r="28" spans="1:3" ht="18" thickBot="1">
      <c r="A28" s="13"/>
      <c r="B28" s="19"/>
      <c r="C28" s="13"/>
    </row>
    <row r="29" spans="1:3" ht="20.25">
      <c r="A29" s="49" t="s">
        <v>57</v>
      </c>
      <c r="B29" s="50"/>
      <c r="C29" s="51"/>
    </row>
    <row r="30" spans="1:3" ht="17.25">
      <c r="A30" s="20" t="s">
        <v>63</v>
      </c>
      <c r="B30" s="21" t="s">
        <v>51</v>
      </c>
      <c r="C30" s="22" t="s">
        <v>52</v>
      </c>
    </row>
    <row r="31" spans="1:3" ht="17.25">
      <c r="A31" s="23" t="s">
        <v>35</v>
      </c>
      <c r="B31" s="1">
        <v>36.6</v>
      </c>
      <c r="C31" s="37" t="s">
        <v>1</v>
      </c>
    </row>
    <row r="32" spans="1:3" ht="17.25">
      <c r="A32" s="23" t="s">
        <v>28</v>
      </c>
      <c r="B32" s="1">
        <v>3300</v>
      </c>
      <c r="C32" s="37" t="s">
        <v>12</v>
      </c>
    </row>
    <row r="33" spans="1:3" ht="17.25">
      <c r="A33" s="20" t="s">
        <v>64</v>
      </c>
      <c r="B33" s="21" t="s">
        <v>51</v>
      </c>
      <c r="C33" s="22" t="s">
        <v>52</v>
      </c>
    </row>
    <row r="34" spans="1:3" ht="17.25">
      <c r="A34" s="23" t="s">
        <v>29</v>
      </c>
      <c r="B34" s="4">
        <f>SQRT(4*B13*(B19+B25)*10^-6/(B35*10^-6))</f>
        <v>1.538222991574307</v>
      </c>
      <c r="C34" s="24" t="s">
        <v>10</v>
      </c>
    </row>
    <row r="35" spans="1:3" ht="17.25">
      <c r="A35" s="23" t="s">
        <v>44</v>
      </c>
      <c r="B35" s="5">
        <f>4*B10*(B21-B23)/B8</f>
        <v>827.443233593288</v>
      </c>
      <c r="C35" s="24" t="s">
        <v>56</v>
      </c>
    </row>
    <row r="36" spans="1:3" ht="17.25">
      <c r="A36" s="20" t="s">
        <v>65</v>
      </c>
      <c r="B36" s="21" t="s">
        <v>51</v>
      </c>
      <c r="C36" s="22" t="s">
        <v>52</v>
      </c>
    </row>
    <row r="37" spans="1:3" ht="17.25">
      <c r="A37" s="23" t="s">
        <v>39</v>
      </c>
      <c r="B37" s="6">
        <f>B35*10^-6*B34/(B32*10^-4*B31*10^-6)</f>
        <v>105.38104041528281</v>
      </c>
      <c r="C37" s="24" t="s">
        <v>7</v>
      </c>
    </row>
    <row r="38" spans="1:3" ht="17.25">
      <c r="A38" s="38" t="s">
        <v>43</v>
      </c>
      <c r="B38" s="5">
        <f>ROUND(B37,0)</f>
        <v>105</v>
      </c>
      <c r="C38" s="24" t="s">
        <v>7</v>
      </c>
    </row>
    <row r="39" spans="1:7" ht="17.25">
      <c r="A39" s="23" t="s">
        <v>40</v>
      </c>
      <c r="B39" s="6">
        <f>(B14+0.7)/(B7+B9)*B38</f>
        <v>21.413793103448274</v>
      </c>
      <c r="C39" s="24" t="s">
        <v>7</v>
      </c>
      <c r="E39" s="12"/>
      <c r="F39" s="12"/>
      <c r="G39" s="12"/>
    </row>
    <row r="40" spans="1:7" ht="17.25">
      <c r="A40" s="39" t="s">
        <v>41</v>
      </c>
      <c r="B40" s="5">
        <f>ROUND(B39,0)</f>
        <v>21</v>
      </c>
      <c r="C40" s="24" t="s">
        <v>7</v>
      </c>
      <c r="D40" s="14"/>
      <c r="E40" s="15"/>
      <c r="F40" s="15"/>
      <c r="G40" s="15"/>
    </row>
    <row r="41" spans="1:7" ht="17.25">
      <c r="A41" s="23" t="s">
        <v>42</v>
      </c>
      <c r="B41" s="5">
        <f>((B40*(B7))/B38)</f>
        <v>20</v>
      </c>
      <c r="C41" s="24" t="s">
        <v>8</v>
      </c>
      <c r="E41" s="12"/>
      <c r="F41" s="12"/>
      <c r="G41" s="12"/>
    </row>
    <row r="42" spans="1:3" ht="17.25">
      <c r="A42" s="20" t="s">
        <v>66</v>
      </c>
      <c r="B42" s="21" t="s">
        <v>51</v>
      </c>
      <c r="C42" s="22" t="s">
        <v>52</v>
      </c>
    </row>
    <row r="43" spans="1:3" ht="17.25">
      <c r="A43" s="23" t="s">
        <v>48</v>
      </c>
      <c r="B43" s="7">
        <f>(B17*SQRT(2)+B7+B9)</f>
        <v>474.8523804664971</v>
      </c>
      <c r="C43" s="24" t="s">
        <v>9</v>
      </c>
    </row>
    <row r="44" spans="1:3" ht="18" thickBot="1">
      <c r="A44" s="40" t="s">
        <v>30</v>
      </c>
      <c r="B44" s="41">
        <f>(B17*SQRT(2)+B7+B9)</f>
        <v>474.8523804664971</v>
      </c>
      <c r="C44" s="36" t="s">
        <v>0</v>
      </c>
    </row>
    <row r="45" spans="1:3" ht="18" thickBot="1">
      <c r="A45" s="32"/>
      <c r="B45" s="13"/>
      <c r="C45" s="13"/>
    </row>
    <row r="46" spans="1:3" ht="20.25">
      <c r="A46" s="49" t="s">
        <v>68</v>
      </c>
      <c r="B46" s="50"/>
      <c r="C46" s="51"/>
    </row>
    <row r="47" spans="1:3" ht="17.25">
      <c r="A47" s="20" t="s">
        <v>67</v>
      </c>
      <c r="B47" s="21" t="s">
        <v>51</v>
      </c>
      <c r="C47" s="22" t="s">
        <v>52</v>
      </c>
    </row>
    <row r="48" spans="1:3" ht="17.25">
      <c r="A48" s="33" t="s">
        <v>46</v>
      </c>
      <c r="B48" s="4">
        <f>0.2/B8</f>
        <v>1.1111111111111112</v>
      </c>
      <c r="C48" s="24" t="s">
        <v>2</v>
      </c>
    </row>
    <row r="49" spans="1:3" ht="18" thickBot="1">
      <c r="A49" s="34" t="s">
        <v>47</v>
      </c>
      <c r="B49" s="35">
        <f>0.3*0.8/B34</f>
        <v>0.15602419240553023</v>
      </c>
      <c r="C49" s="36" t="s">
        <v>2</v>
      </c>
    </row>
    <row r="50" ht="18" thickBot="1"/>
    <row r="51" spans="1:3" ht="20.25">
      <c r="A51" s="49" t="s">
        <v>69</v>
      </c>
      <c r="B51" s="50"/>
      <c r="C51" s="51"/>
    </row>
    <row r="52" spans="1:3" ht="17.25">
      <c r="A52" s="28"/>
      <c r="B52" s="21" t="s">
        <v>51</v>
      </c>
      <c r="C52" s="22" t="s">
        <v>52</v>
      </c>
    </row>
    <row r="53" spans="1:3" ht="17.25">
      <c r="A53" s="45" t="s">
        <v>58</v>
      </c>
      <c r="B53" s="8">
        <f>29/B40*B38</f>
        <v>145</v>
      </c>
      <c r="C53" s="27" t="s">
        <v>0</v>
      </c>
    </row>
    <row r="54" spans="1:3" ht="17.25">
      <c r="A54" s="45" t="s">
        <v>59</v>
      </c>
      <c r="B54" s="8">
        <f>31/B40*B38</f>
        <v>155</v>
      </c>
      <c r="C54" s="27" t="s">
        <v>72</v>
      </c>
    </row>
    <row r="55" spans="1:3" ht="18" thickBot="1">
      <c r="A55" s="46" t="s">
        <v>60</v>
      </c>
      <c r="B55" s="8">
        <f>33/B40*B38</f>
        <v>165</v>
      </c>
      <c r="C55" s="27" t="s">
        <v>72</v>
      </c>
    </row>
  </sheetData>
  <sheetProtection password="E425" sheet="1"/>
  <mergeCells count="6">
    <mergeCell ref="B27:C27"/>
    <mergeCell ref="A46:C46"/>
    <mergeCell ref="B3:C3"/>
    <mergeCell ref="A5:C5"/>
    <mergeCell ref="A29:C29"/>
    <mergeCell ref="A51:C51"/>
  </mergeCells>
  <conditionalFormatting sqref="B28">
    <cfRule type="cellIs" priority="2" dxfId="2" operator="equal" stopIfTrue="1">
      <formula>"Pass"</formula>
    </cfRule>
  </conditionalFormatting>
  <conditionalFormatting sqref="B27">
    <cfRule type="cellIs" priority="1" dxfId="2" operator="equal" stopIfTrue="1">
      <formula>"Pass"</formula>
    </cfRule>
  </conditionalFormatting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6:C10"/>
  <sheetViews>
    <sheetView zoomScalePageLayoutView="0" workbookViewId="0" topLeftCell="A1">
      <selection activeCell="F13" sqref="F13"/>
    </sheetView>
  </sheetViews>
  <sheetFormatPr defaultColWidth="9.00390625" defaultRowHeight="16.5"/>
  <sheetData>
    <row r="6" spans="2:3" ht="16.5">
      <c r="B6" t="s">
        <v>13</v>
      </c>
      <c r="C6">
        <v>3400</v>
      </c>
    </row>
    <row r="7" spans="2:3" ht="16.5">
      <c r="B7" t="s">
        <v>14</v>
      </c>
      <c r="C7">
        <v>1.4</v>
      </c>
    </row>
    <row r="8" spans="2:3" ht="16.5">
      <c r="B8" t="s">
        <v>15</v>
      </c>
      <c r="C8">
        <v>800</v>
      </c>
    </row>
    <row r="9" spans="2:3" ht="16.5">
      <c r="B9" t="s">
        <v>17</v>
      </c>
      <c r="C9">
        <v>36.6</v>
      </c>
    </row>
    <row r="10" spans="2:3" ht="16.5">
      <c r="B10" t="s">
        <v>16</v>
      </c>
      <c r="C10">
        <f>C8*10^-6*C7/(C6*10^-4*C9*10^-6)</f>
        <v>90.0032144005143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117</dc:creator>
  <cp:keywords/>
  <dc:description/>
  <cp:lastModifiedBy>Chris Lin </cp:lastModifiedBy>
  <cp:lastPrinted>2011-06-08T12:55:22Z</cp:lastPrinted>
  <dcterms:created xsi:type="dcterms:W3CDTF">2009-08-17T05:54:29Z</dcterms:created>
  <dcterms:modified xsi:type="dcterms:W3CDTF">2017-03-22T02:14:33Z</dcterms:modified>
  <cp:category/>
  <cp:version/>
  <cp:contentType/>
  <cp:contentStatus/>
</cp:coreProperties>
</file>